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91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<sst xmlns="http://schemas.openxmlformats.org/spreadsheetml/2006/main" count="171" uniqueCount="144">
  <si>
    <t>Interdistanza</t>
  </si>
  <si>
    <t>Altezza supporto</t>
  </si>
  <si>
    <t>Punteggio</t>
  </si>
  <si>
    <t>metri</t>
  </si>
  <si>
    <t>Potenza lampada</t>
  </si>
  <si>
    <t>Watt</t>
  </si>
  <si>
    <t xml:space="preserve">Kr = </t>
  </si>
  <si>
    <t xml:space="preserve">Ks = </t>
  </si>
  <si>
    <t xml:space="preserve">Kw = </t>
  </si>
  <si>
    <t xml:space="preserve">Ki = </t>
  </si>
  <si>
    <t>As</t>
  </si>
  <si>
    <t>Ap</t>
  </si>
  <si>
    <t>CALCOLO PUNTEGGIO RICHIESTE DI CONTRIBUTI PROVINCIALI</t>
  </si>
  <si>
    <t>PARAMETRI DI CALCOLO: Kr</t>
  </si>
  <si>
    <t>PARAMETRI DI CALCOLO: Kd</t>
  </si>
  <si>
    <t>N°</t>
  </si>
  <si>
    <t xml:space="preserve">Kd = </t>
  </si>
  <si>
    <t xml:space="preserve">VECCHIA LAMPADA </t>
  </si>
  <si>
    <t>NUOVA LAMPADA</t>
  </si>
  <si>
    <t>Non in tabella</t>
  </si>
  <si>
    <t xml:space="preserve">Ap = </t>
  </si>
  <si>
    <t>Coefficiente di correzione Ap</t>
  </si>
  <si>
    <t>Potenza Vecchia lampada Pold</t>
  </si>
  <si>
    <t>Potenza Nuova lampada Pnew</t>
  </si>
  <si>
    <t>Pnew=</t>
  </si>
  <si>
    <t>Pold=</t>
  </si>
  <si>
    <t xml:space="preserve">Ao = </t>
  </si>
  <si>
    <t>Calcolo di Ao =Ap* Pold/Pnew</t>
  </si>
  <si>
    <t>Calcolo di Kr =I/A</t>
  </si>
  <si>
    <t>I=</t>
  </si>
  <si>
    <t>A=</t>
  </si>
  <si>
    <t>Nap=</t>
  </si>
  <si>
    <t>Lunghezza tratto di progetto</t>
  </si>
  <si>
    <t>L=</t>
  </si>
  <si>
    <t>PARAMETRI DI CALCOLO: Ks</t>
  </si>
  <si>
    <t>TIPO DI SORGENTE</t>
  </si>
  <si>
    <t>Calcolo di Ks = Ao * (0.9 + 0.6*As)</t>
  </si>
  <si>
    <t>As=</t>
  </si>
  <si>
    <t>Tipo di Sorgente</t>
  </si>
  <si>
    <t>Sodio Alta pressione</t>
  </si>
  <si>
    <t>Ioduri Metallici lm/W&lt;90</t>
  </si>
  <si>
    <t>Ioduri Metallici lm/W&gt;=90</t>
  </si>
  <si>
    <t>W</t>
  </si>
  <si>
    <t>PARAMETRI DI CALCOLO: Kw</t>
  </si>
  <si>
    <t>Scelta</t>
  </si>
  <si>
    <t>Pold (Watt)</t>
  </si>
  <si>
    <t>Pnew (Watt)</t>
  </si>
  <si>
    <t>Indice Illuminotecnico Co</t>
  </si>
  <si>
    <t>PARAMETRI DI CALCOLO: Ki</t>
  </si>
  <si>
    <t>Co=</t>
  </si>
  <si>
    <t>km</t>
  </si>
  <si>
    <t>Calcolo di Kd = 6.7-(Nap/L)/10</t>
  </si>
  <si>
    <t>Calcolo di Ki = (6 – Co*3/4)</t>
  </si>
  <si>
    <t>Inserire "x" sulla selezione prescelta</t>
  </si>
  <si>
    <t>N° di Apparecchi progetto</t>
  </si>
  <si>
    <t>NOTE:</t>
  </si>
  <si>
    <t>- Per impianti quinconce e bilaterali il numero Nap è la somma di tutti gli apparecchi di progetto</t>
  </si>
  <si>
    <t>- Apparecchi di illuminazione di piste ciclabili laterali l'installazione oggetto del progetto o per aree pedonabili</t>
  </si>
  <si>
    <t xml:space="preserve"> non fanno parte della richiesta di contributo e del progetto in generale</t>
  </si>
  <si>
    <t>PUNTEGGIO DI MERITO CARATTERISTICO TOTALE</t>
  </si>
  <si>
    <t>Pmc=</t>
  </si>
  <si>
    <t>1- Rapporto Interdistanza / Altezza dei supporti</t>
  </si>
  <si>
    <t>3- Tipo di Adeguamento e Tipo di Lampada</t>
  </si>
  <si>
    <t>4- Classificazione Illuminotecnica</t>
  </si>
  <si>
    <t>5- Tipo di Potenza Installata</t>
  </si>
  <si>
    <t>PUNTEGGIO DI MERITO QUALITATIVO</t>
  </si>
  <si>
    <t>PARAMETRI DI CALCOLO: Kv</t>
  </si>
  <si>
    <t>Calcolo di Kv =4.5-0.8xPai/100</t>
  </si>
  <si>
    <t>Pai=</t>
  </si>
  <si>
    <t xml:space="preserve">Kv= </t>
  </si>
  <si>
    <t>Prezzo per Punto Luce:</t>
  </si>
  <si>
    <t>(Apparecchio+Lampada+Installazione)</t>
  </si>
  <si>
    <t>€</t>
  </si>
  <si>
    <t>(Se Kv&lt;1 allora pone Kv=1)</t>
  </si>
  <si>
    <t>- Costo dell'intervento completo</t>
  </si>
  <si>
    <t>anni</t>
  </si>
  <si>
    <t>Valutazioni Economiche di ogni progetto:</t>
  </si>
  <si>
    <t>- Risparmio Energetico Annuo</t>
  </si>
  <si>
    <t xml:space="preserve">€ </t>
  </si>
  <si>
    <t>(se Pnew&gt;350 allora pone Kw=0)</t>
  </si>
  <si>
    <t>Calcolo di Kw =(350-Pnew)/70</t>
  </si>
  <si>
    <t>(Validi per impianti da adeguare ed impianti nuovi)</t>
  </si>
  <si>
    <t>Ambiti di applicazione: stradale, pedonale (percorsi), piste ciclabili</t>
  </si>
  <si>
    <t>Se si tratta di nuovo impianto o l'adeguamento non è comunque compreso in tabella inserire una 'x' a fondo tabella</t>
  </si>
  <si>
    <t>e sostituite 'Non in tabella: inserire' con i valori della lampada nuova e di quella vecchia (se nuovo impianto lampada vecchia =0)</t>
  </si>
  <si>
    <t>6- Costo Adeguamento a punto luce</t>
  </si>
  <si>
    <t>Non in tabella: Inserire</t>
  </si>
  <si>
    <t>PARAMETRI DI CALCOLO: Kf</t>
  </si>
  <si>
    <t>7- Installati i riduttori di flusso (puntuali o centralizzati)</t>
  </si>
  <si>
    <t xml:space="preserve">Kf = 0 se non sono previsti </t>
  </si>
  <si>
    <t>Kf = 0,5 se sono previsti o l'impianto viene collegato a sistema esistente</t>
  </si>
  <si>
    <t>EN 13201 - Classe S e CE</t>
  </si>
  <si>
    <t xml:space="preserve">Kf= </t>
  </si>
  <si>
    <t>n° PUNTI LUCE</t>
  </si>
  <si>
    <t>Potenze prima</t>
  </si>
  <si>
    <t>Potenze dopo</t>
  </si>
  <si>
    <t>Costi intervento a punto luce</t>
  </si>
  <si>
    <t>Costo Energia a kWh</t>
  </si>
  <si>
    <t>Ore accensione annue</t>
  </si>
  <si>
    <t>Costo cambio lampada</t>
  </si>
  <si>
    <t>Assorbimenti Apparecchio</t>
  </si>
  <si>
    <t>Durata media impianto</t>
  </si>
  <si>
    <t>Morte accidentale lampade</t>
  </si>
  <si>
    <t>Durata media lampade vecchie</t>
  </si>
  <si>
    <t>Durata media lampade nuove</t>
  </si>
  <si>
    <t>Numero totale lampade di Progetto</t>
  </si>
  <si>
    <t>PUNTEGGI ADEGUAMENTO IMPIANTO ESISTENTE</t>
  </si>
  <si>
    <t>PUNTEGGI NUOVO IMPIANTO D'ILLUMINAZIONE</t>
  </si>
  <si>
    <t>- kWH anno nuovo impianto</t>
  </si>
  <si>
    <t>kWh/anno</t>
  </si>
  <si>
    <t>- kWH anno risparmiati con riduttore di flusso</t>
  </si>
  <si>
    <t>- kWH anno risparmiati con nuove lampade</t>
  </si>
  <si>
    <t>- kWH anno risparmiate complessivamente</t>
  </si>
  <si>
    <t>€ /anno</t>
  </si>
  <si>
    <t>- Risparmio Energetico per 25 anni</t>
  </si>
  <si>
    <t>-Costo Manutenzione per 25 anni vecchio</t>
  </si>
  <si>
    <t>€ /anno a punto luce</t>
  </si>
  <si>
    <t>-Costo Manutenzione per 25 anni nuovo</t>
  </si>
  <si>
    <t>- Risparmio Manutentivo annuo</t>
  </si>
  <si>
    <t>(*considerato per difetto anche come incremento della vita delle lampade)</t>
  </si>
  <si>
    <t>Riduttori di Flusso risparmio %</t>
  </si>
  <si>
    <t>Break Even (Pay-back):</t>
  </si>
  <si>
    <t>Dati di calcolo del progetto:</t>
  </si>
  <si>
    <t>VALUTAZIONI ECONOMICHE E DI RISPARMIO ENERGETICO IN CASO DI ADEGUAMENTO ESISTENTE</t>
  </si>
  <si>
    <t>2-Rapporto N° apparecchi per Km di percorso (strada, pedonale, pista ciclabile)</t>
  </si>
  <si>
    <t>S1 = CE3</t>
  </si>
  <si>
    <t>S2 = CE4</t>
  </si>
  <si>
    <t>S3 = CE5</t>
  </si>
  <si>
    <t>CE2</t>
  </si>
  <si>
    <t>CE1</t>
  </si>
  <si>
    <t>S4</t>
  </si>
  <si>
    <t>Se non in tabella utilizzare la classe con Co=6</t>
  </si>
  <si>
    <t>• In impianti non stradali si definiesce un percorso e si calcola l'interdistanza media</t>
  </si>
  <si>
    <t>• In impianti in cui non sia definibile un persorso si calcola su apparecchi contigui. Se questo non è possibile il bando non è applicabile a questo impianto.</t>
  </si>
  <si>
    <t>• Per impianti stradali “quinconce” l'interdistanza si definisce come la distanza fra due sostegni posti sullo stesso lato della carreggiata diviso 2</t>
  </si>
  <si>
    <t>• Per impianti stradali “bilaterali forntali” l'interdistanza si definisce come la distanza fra due sostegni posti sullo stesso lato della carreggiata diviso 4</t>
  </si>
  <si>
    <t>OLTRE 26 buono</t>
  </si>
  <si>
    <t>MAGGIORE 23.5 discreto</t>
  </si>
  <si>
    <t>MAGGIORE 21 sufficiente</t>
  </si>
  <si>
    <t>MINORE 21 insufficiente</t>
  </si>
  <si>
    <t>OLTRE 19 buono</t>
  </si>
  <si>
    <t>MAGGIORE 17.5 discreto</t>
  </si>
  <si>
    <t>MAGGIORE 16 sufficiente</t>
  </si>
  <si>
    <t>MINORE 16 insufficiente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</si>
</sst>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2">
    <font>
      <sz val="10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3" borderId="11" xfId="0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170" fontId="0" fillId="2" borderId="10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170" fontId="0" fillId="3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5" fillId="4" borderId="11" xfId="0" applyNumberFormat="1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 quotePrefix="1">
      <alignment/>
    </xf>
    <xf numFmtId="0" fontId="0" fillId="2" borderId="11" xfId="0" applyFont="1" applyFill="1" applyBorder="1" applyAlignment="1">
      <alignment horizontal="right"/>
    </xf>
    <xf numFmtId="170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2" fillId="2" borderId="12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7" fillId="0" borderId="0" xfId="0" applyNumberFormat="1" applyFont="1" applyBorder="1" applyAlignment="1">
      <alignment horizontal="center"/>
    </xf>
    <xf numFmtId="0" fontId="0" fillId="0" borderId="5" xfId="0" applyBorder="1" applyAlignment="1" quotePrefix="1">
      <alignment/>
    </xf>
    <xf numFmtId="0" fontId="0" fillId="0" borderId="17" xfId="0" applyBorder="1" applyAlignment="1">
      <alignment/>
    </xf>
    <xf numFmtId="0" fontId="0" fillId="0" borderId="5" xfId="0" applyBorder="1" applyAlignment="1" quotePrefix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8" xfId="0" applyBorder="1" applyAlignment="1">
      <alignment/>
    </xf>
    <xf numFmtId="0" fontId="7" fillId="0" borderId="0" xfId="0" applyFont="1" applyBorder="1" applyAlignment="1">
      <alignment horizontal="center"/>
    </xf>
    <xf numFmtId="170" fontId="5" fillId="0" borderId="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17" xfId="0" applyNumberFormat="1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2" borderId="9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70" fontId="0" fillId="0" borderId="18" xfId="0" applyNumberForma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A1:IV1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23.7109375" style="0" customWidth="1"/>
    <col min="3" max="3" width="10.421875" style="0" customWidth="1"/>
    <col min="5" max="5" width="12.28125" style="0" customWidth="1"/>
    <col min="7" max="7" width="10.00390625" style="0" bestFit="1" customWidth="1"/>
    <col min="8" max="8" width="13.57421875" style="0" customWidth="1"/>
    <col min="9" max="9" width="10.00390625" style="0" bestFit="1" customWidth="1"/>
    <col min="10" max="10" width="10.00390625" style="4" bestFit="1" customWidth="1"/>
    <col min="12" max="12" width="12.28125" style="0" customWidth="1"/>
    <col min="13" max="13" width="11.28125" style="0" customWidth="1"/>
    <col min="16" max="16" width="9.00390625" style="0" customWidth="1"/>
  </cols>
  <sheetData>
    <row r="1" ht="18">
      <c r="A1" s="112" t="s">
        <v>12</v>
      </c>
    </row>
    <row r="2" ht="15.75">
      <c r="A2" s="6" t="s">
        <v>81</v>
      </c>
    </row>
    <row r="3" ht="15.75">
      <c r="A3" s="6" t="s">
        <v>82</v>
      </c>
    </row>
    <row r="5" ht="15.75">
      <c r="A5" s="47" t="s">
        <v>65</v>
      </c>
    </row>
    <row r="7" spans="1:9" ht="15">
      <c r="A7" s="1" t="s">
        <v>61</v>
      </c>
      <c r="H7" s="2"/>
      <c r="I7" s="3"/>
    </row>
    <row r="8" spans="1:9" ht="12.75">
      <c r="A8" s="7" t="s">
        <v>28</v>
      </c>
      <c r="H8" s="2"/>
      <c r="I8" s="3"/>
    </row>
    <row r="9" ht="13.5" thickBot="1">
      <c r="A9" s="2" t="s">
        <v>13</v>
      </c>
    </row>
    <row r="10" spans="1:8" ht="12.75">
      <c r="A10" t="s">
        <v>0</v>
      </c>
      <c r="B10" s="22" t="s">
        <v>29</v>
      </c>
      <c r="C10" s="31">
        <v>0</v>
      </c>
      <c r="D10" t="s">
        <v>3</v>
      </c>
      <c r="H10" s="56"/>
    </row>
    <row r="11" spans="1:8" ht="13.5" thickBot="1">
      <c r="A11" t="s">
        <v>1</v>
      </c>
      <c r="B11" s="22" t="s">
        <v>30</v>
      </c>
      <c r="C11" s="32">
        <v>0</v>
      </c>
      <c r="D11" t="s">
        <v>3</v>
      </c>
      <c r="H11" s="56"/>
    </row>
    <row r="12" ht="13.5" thickBot="1"/>
    <row r="13" spans="1:6" ht="13.5" thickBot="1">
      <c r="A13" s="5" t="s">
        <v>2</v>
      </c>
      <c r="B13" s="5"/>
      <c r="C13" s="5"/>
      <c r="D13" s="5"/>
      <c r="E13" s="9" t="s">
        <v>6</v>
      </c>
      <c r="F13" s="51">
        <f>IF(C11=0,0,C10/C11)</f>
        <v>0</v>
      </c>
    </row>
    <row r="14" spans="1:6" ht="12.75">
      <c r="A14" s="5" t="s">
        <v>55</v>
      </c>
      <c r="B14" s="5"/>
      <c r="C14" s="5"/>
      <c r="D14" s="5"/>
      <c r="E14" s="9"/>
      <c r="F14" s="23"/>
    </row>
    <row r="15" spans="1:6" ht="12.75">
      <c r="A15" s="46" t="s">
        <v>132</v>
      </c>
      <c r="B15" s="5"/>
      <c r="C15" s="5"/>
      <c r="D15" s="5"/>
      <c r="E15" s="9"/>
      <c r="F15" s="23"/>
    </row>
    <row r="16" spans="1:256" ht="12.75">
      <c r="A16" s="58" t="s">
        <v>133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2.75">
      <c r="A17" s="46" t="s">
        <v>134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2.75">
      <c r="A18" s="46" t="s">
        <v>135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6" ht="13.5" thickBot="1">
      <c r="A19" s="38"/>
      <c r="B19" s="38"/>
      <c r="C19" s="38"/>
      <c r="D19" s="38"/>
      <c r="E19" s="38"/>
      <c r="F19" s="41"/>
    </row>
    <row r="20" spans="1:9" ht="15">
      <c r="A20" s="1" t="s">
        <v>124</v>
      </c>
      <c r="H20" s="2"/>
      <c r="I20" s="3"/>
    </row>
    <row r="21" spans="1:9" ht="12.75">
      <c r="A21" s="7" t="s">
        <v>51</v>
      </c>
      <c r="H21" s="2"/>
      <c r="I21" s="3"/>
    </row>
    <row r="22" ht="13.5" thickBot="1">
      <c r="A22" s="2" t="s">
        <v>14</v>
      </c>
    </row>
    <row r="23" spans="1:8" ht="12.75">
      <c r="A23" t="s">
        <v>54</v>
      </c>
      <c r="B23" s="22" t="s">
        <v>31</v>
      </c>
      <c r="C23" s="43">
        <v>0</v>
      </c>
      <c r="D23" t="s">
        <v>15</v>
      </c>
      <c r="H23" s="56"/>
    </row>
    <row r="24" spans="1:8" ht="13.5" thickBot="1">
      <c r="A24" t="s">
        <v>32</v>
      </c>
      <c r="B24" s="22" t="s">
        <v>33</v>
      </c>
      <c r="C24" s="42">
        <v>0</v>
      </c>
      <c r="D24" t="s">
        <v>50</v>
      </c>
      <c r="H24" s="56"/>
    </row>
    <row r="25" ht="13.5" thickBot="1">
      <c r="H25" s="56"/>
    </row>
    <row r="26" spans="1:8" ht="13.5" thickBot="1">
      <c r="A26" t="s">
        <v>2</v>
      </c>
      <c r="E26" s="2" t="s">
        <v>16</v>
      </c>
      <c r="F26" s="51">
        <f>IF(C24=0,0,6.7-(C23/C24)/10)</f>
        <v>0</v>
      </c>
      <c r="H26" s="56">
        <f>IF(C24=0,"",IF(C24=C10*C23/1000,"",IF(C24&lt;C10*C23/1000,"","Errore di Progetto: la lunghezza del tratto &gt; interdistanza x n. apparecchi")))</f>
      </c>
    </row>
    <row r="27" spans="1:6" ht="12.75">
      <c r="A27" s="5" t="s">
        <v>55</v>
      </c>
      <c r="B27" s="5"/>
      <c r="C27" s="5"/>
      <c r="D27" s="5"/>
      <c r="E27" s="9"/>
      <c r="F27" s="23"/>
    </row>
    <row r="28" spans="1:6" ht="12.75">
      <c r="A28" s="46" t="s">
        <v>56</v>
      </c>
      <c r="B28" s="5"/>
      <c r="C28" s="5"/>
      <c r="D28" s="5"/>
      <c r="E28" s="9"/>
      <c r="F28" s="23"/>
    </row>
    <row r="29" spans="1:6" ht="12.75">
      <c r="A29" s="46" t="s">
        <v>57</v>
      </c>
      <c r="B29" s="5"/>
      <c r="C29" s="5"/>
      <c r="D29" s="5"/>
      <c r="E29" s="9"/>
      <c r="F29" s="23"/>
    </row>
    <row r="30" spans="1:6" ht="12.75">
      <c r="A30" s="46" t="s">
        <v>58</v>
      </c>
      <c r="B30" s="5"/>
      <c r="C30" s="5"/>
      <c r="D30" s="5"/>
      <c r="E30" s="9"/>
      <c r="F30" s="23"/>
    </row>
    <row r="31" spans="1:6" ht="13.5" thickBot="1">
      <c r="A31" s="38"/>
      <c r="B31" s="38"/>
      <c r="C31" s="38"/>
      <c r="D31" s="38"/>
      <c r="E31" s="38"/>
      <c r="F31" s="38"/>
    </row>
    <row r="32" spans="1:10" ht="15">
      <c r="A32" s="1" t="s">
        <v>62</v>
      </c>
      <c r="F32" s="56"/>
      <c r="H32" s="2"/>
      <c r="J32" s="3"/>
    </row>
    <row r="33" spans="1:8" ht="12.75">
      <c r="A33" s="7" t="s">
        <v>27</v>
      </c>
      <c r="C33" s="3"/>
      <c r="H33" s="56"/>
    </row>
    <row r="34" spans="1:8" ht="12.75">
      <c r="A34" s="2" t="s">
        <v>34</v>
      </c>
      <c r="C34" s="3"/>
      <c r="H34" s="56"/>
    </row>
    <row r="35" spans="1:3" ht="12.75">
      <c r="A35" s="10" t="s">
        <v>53</v>
      </c>
      <c r="C35" s="3"/>
    </row>
    <row r="36" spans="1:3" ht="12.75">
      <c r="A36" s="10" t="s">
        <v>83</v>
      </c>
      <c r="C36" s="3"/>
    </row>
    <row r="37" spans="1:3" ht="13.5" thickBot="1">
      <c r="A37" s="10" t="s">
        <v>84</v>
      </c>
      <c r="C37" s="3"/>
    </row>
    <row r="38" spans="1:12" ht="15.75">
      <c r="A38" s="12" t="s">
        <v>17</v>
      </c>
      <c r="B38" s="14" t="s">
        <v>18</v>
      </c>
      <c r="C38" s="69" t="s">
        <v>11</v>
      </c>
      <c r="D38" s="25" t="s">
        <v>44</v>
      </c>
      <c r="E38" s="61"/>
      <c r="F38" s="61"/>
      <c r="G38" s="61"/>
      <c r="H38" s="45"/>
      <c r="I38" s="45"/>
      <c r="J38" s="61"/>
      <c r="K38" s="45"/>
      <c r="L38" s="45"/>
    </row>
    <row r="39" spans="1:12" ht="13.5" thickBot="1">
      <c r="A39" s="13" t="s">
        <v>45</v>
      </c>
      <c r="B39" s="15" t="s">
        <v>46</v>
      </c>
      <c r="C39" s="70"/>
      <c r="D39" s="65"/>
      <c r="E39" s="45"/>
      <c r="F39" s="45"/>
      <c r="G39" s="45"/>
      <c r="H39" s="45"/>
      <c r="I39" s="45"/>
      <c r="J39" s="61"/>
      <c r="K39" s="45"/>
      <c r="L39" s="45"/>
    </row>
    <row r="40" spans="1:16" ht="12.75">
      <c r="A40" s="16">
        <v>70</v>
      </c>
      <c r="B40" s="102">
        <v>35</v>
      </c>
      <c r="C40" s="103">
        <v>1.2</v>
      </c>
      <c r="D40" s="104"/>
      <c r="E40" s="109"/>
      <c r="F40" s="109"/>
      <c r="G40" s="23"/>
      <c r="H40" s="108"/>
      <c r="I40" s="45"/>
      <c r="J40" s="45"/>
      <c r="K40" s="62"/>
      <c r="L40" s="62"/>
      <c r="M40" s="62"/>
      <c r="N40" s="62"/>
      <c r="O40" s="45"/>
      <c r="P40" s="45"/>
    </row>
    <row r="41" spans="1:16" ht="12.75">
      <c r="A41" s="17">
        <v>70</v>
      </c>
      <c r="B41" s="11">
        <v>50</v>
      </c>
      <c r="C41" s="80">
        <v>1.6</v>
      </c>
      <c r="D41" s="59"/>
      <c r="E41" s="109"/>
      <c r="F41" s="109"/>
      <c r="G41" s="23"/>
      <c r="H41" s="108"/>
      <c r="I41" s="45"/>
      <c r="J41" s="45"/>
      <c r="K41" s="62"/>
      <c r="L41" s="62"/>
      <c r="M41" s="62"/>
      <c r="N41" s="62"/>
      <c r="O41" s="45"/>
      <c r="P41" s="45"/>
    </row>
    <row r="42" spans="1:16" ht="12.75">
      <c r="A42" s="17">
        <v>80</v>
      </c>
      <c r="B42" s="11">
        <v>35</v>
      </c>
      <c r="C42" s="80">
        <v>1.6</v>
      </c>
      <c r="D42" s="59"/>
      <c r="E42" s="109"/>
      <c r="F42" s="109"/>
      <c r="G42" s="23"/>
      <c r="H42" s="108"/>
      <c r="I42" s="45"/>
      <c r="J42" s="45"/>
      <c r="K42" s="62"/>
      <c r="L42" s="62"/>
      <c r="M42" s="62"/>
      <c r="N42" s="62"/>
      <c r="O42" s="45"/>
      <c r="P42" s="45"/>
    </row>
    <row r="43" spans="1:16" ht="12.75">
      <c r="A43" s="17">
        <v>80</v>
      </c>
      <c r="B43" s="11">
        <v>50</v>
      </c>
      <c r="C43" s="80">
        <v>1.5</v>
      </c>
      <c r="D43" s="59"/>
      <c r="E43" s="109"/>
      <c r="F43" s="109"/>
      <c r="G43" s="23"/>
      <c r="H43" s="108"/>
      <c r="I43" s="45"/>
      <c r="J43" s="45"/>
      <c r="K43" s="62"/>
      <c r="L43" s="62"/>
      <c r="M43" s="62"/>
      <c r="N43" s="62"/>
      <c r="O43" s="63"/>
      <c r="P43" s="45"/>
    </row>
    <row r="44" spans="1:16" ht="12.75">
      <c r="A44" s="17">
        <v>80</v>
      </c>
      <c r="B44" s="11">
        <v>70</v>
      </c>
      <c r="C44" s="80">
        <v>1.7</v>
      </c>
      <c r="D44" s="59"/>
      <c r="E44" s="109"/>
      <c r="F44" s="109"/>
      <c r="G44" s="23"/>
      <c r="H44" s="108"/>
      <c r="I44" s="45"/>
      <c r="J44" s="45"/>
      <c r="K44" s="62"/>
      <c r="L44" s="62"/>
      <c r="M44" s="62"/>
      <c r="N44" s="62"/>
      <c r="O44" s="45"/>
      <c r="P44" s="45"/>
    </row>
    <row r="45" spans="1:16" ht="12.75">
      <c r="A45" s="17">
        <v>100</v>
      </c>
      <c r="B45" s="11">
        <v>70</v>
      </c>
      <c r="C45" s="80">
        <v>1.6</v>
      </c>
      <c r="D45" s="59"/>
      <c r="E45" s="109"/>
      <c r="F45" s="109"/>
      <c r="G45" s="23"/>
      <c r="H45" s="108"/>
      <c r="I45" s="45"/>
      <c r="J45" s="45"/>
      <c r="K45" s="62"/>
      <c r="L45" s="62"/>
      <c r="M45" s="62"/>
      <c r="N45" s="62"/>
      <c r="O45" s="63"/>
      <c r="P45" s="45"/>
    </row>
    <row r="46" spans="1:16" s="5" customFormat="1" ht="12.75">
      <c r="A46" s="17">
        <v>125</v>
      </c>
      <c r="B46" s="11">
        <v>70</v>
      </c>
      <c r="C46" s="80">
        <v>1.9</v>
      </c>
      <c r="D46" s="59"/>
      <c r="E46" s="109"/>
      <c r="F46" s="109"/>
      <c r="G46" s="23"/>
      <c r="H46" s="108"/>
      <c r="I46" s="45"/>
      <c r="J46" s="23"/>
      <c r="K46" s="62"/>
      <c r="L46" s="62"/>
      <c r="M46" s="62"/>
      <c r="N46" s="62"/>
      <c r="O46" s="23"/>
      <c r="P46" s="23"/>
    </row>
    <row r="47" spans="1:16" s="5" customFormat="1" ht="12.75">
      <c r="A47" s="17">
        <v>125</v>
      </c>
      <c r="B47" s="11">
        <v>100</v>
      </c>
      <c r="C47" s="80">
        <v>1.8</v>
      </c>
      <c r="D47" s="59"/>
      <c r="E47" s="109"/>
      <c r="F47" s="109"/>
      <c r="G47" s="23"/>
      <c r="H47" s="108"/>
      <c r="I47" s="45"/>
      <c r="J47" s="23"/>
      <c r="K47" s="62"/>
      <c r="L47" s="62"/>
      <c r="M47" s="62"/>
      <c r="N47" s="62"/>
      <c r="O47" s="57"/>
      <c r="P47" s="23"/>
    </row>
    <row r="48" spans="1:16" s="5" customFormat="1" ht="12.75">
      <c r="A48" s="17">
        <v>150</v>
      </c>
      <c r="B48" s="11">
        <v>70</v>
      </c>
      <c r="C48" s="80">
        <v>1.9</v>
      </c>
      <c r="D48" s="59"/>
      <c r="E48" s="109"/>
      <c r="F48" s="109"/>
      <c r="G48" s="23"/>
      <c r="H48" s="108"/>
      <c r="I48" s="45"/>
      <c r="J48" s="23"/>
      <c r="K48" s="62"/>
      <c r="L48" s="62"/>
      <c r="M48" s="62"/>
      <c r="N48" s="62"/>
      <c r="O48" s="63"/>
      <c r="P48" s="23"/>
    </row>
    <row r="49" spans="1:16" s="5" customFormat="1" ht="12.75">
      <c r="A49" s="17">
        <v>150</v>
      </c>
      <c r="B49" s="11">
        <v>100</v>
      </c>
      <c r="C49" s="80">
        <v>1.9</v>
      </c>
      <c r="D49" s="59"/>
      <c r="E49" s="109"/>
      <c r="F49" s="109"/>
      <c r="G49" s="23"/>
      <c r="H49" s="108"/>
      <c r="I49" s="45"/>
      <c r="J49" s="23"/>
      <c r="K49" s="62"/>
      <c r="L49" s="62"/>
      <c r="M49" s="62"/>
      <c r="N49" s="62"/>
      <c r="O49" s="63"/>
      <c r="P49" s="23"/>
    </row>
    <row r="50" spans="1:16" s="5" customFormat="1" ht="12.75">
      <c r="A50" s="17">
        <v>250</v>
      </c>
      <c r="B50" s="11">
        <v>150</v>
      </c>
      <c r="C50" s="80">
        <v>1.9</v>
      </c>
      <c r="D50" s="59"/>
      <c r="E50" s="109"/>
      <c r="F50" s="109"/>
      <c r="G50" s="23"/>
      <c r="H50" s="108"/>
      <c r="I50" s="45"/>
      <c r="J50" s="23"/>
      <c r="K50" s="62"/>
      <c r="L50" s="62"/>
      <c r="M50" s="62"/>
      <c r="N50" s="62"/>
      <c r="O50" s="63"/>
      <c r="P50" s="23"/>
    </row>
    <row r="51" spans="1:16" s="5" customFormat="1" ht="12.75">
      <c r="A51" s="17">
        <v>400</v>
      </c>
      <c r="B51" s="11">
        <v>150</v>
      </c>
      <c r="C51" s="80">
        <v>1.3</v>
      </c>
      <c r="D51" s="59"/>
      <c r="E51" s="109"/>
      <c r="F51" s="109"/>
      <c r="G51" s="23"/>
      <c r="H51" s="108"/>
      <c r="I51" s="45"/>
      <c r="J51" s="23"/>
      <c r="K51" s="62"/>
      <c r="L51" s="62"/>
      <c r="M51" s="62"/>
      <c r="N51" s="62"/>
      <c r="O51" s="57"/>
      <c r="P51" s="23"/>
    </row>
    <row r="52" spans="1:16" s="5" customFormat="1" ht="12.75">
      <c r="A52" s="17">
        <v>400</v>
      </c>
      <c r="B52" s="11">
        <v>250</v>
      </c>
      <c r="C52" s="80">
        <v>1.9</v>
      </c>
      <c r="D52" s="59"/>
      <c r="E52" s="23"/>
      <c r="F52" s="23"/>
      <c r="G52" s="23"/>
      <c r="H52" s="23"/>
      <c r="I52" s="23"/>
      <c r="J52" s="23"/>
      <c r="K52" s="23"/>
      <c r="L52" s="57"/>
      <c r="M52" s="57"/>
      <c r="N52" s="64"/>
      <c r="O52" s="57"/>
      <c r="P52" s="23"/>
    </row>
    <row r="53" spans="1:13" s="5" customFormat="1" ht="13.5" thickBot="1">
      <c r="A53" s="105" t="s">
        <v>86</v>
      </c>
      <c r="B53" s="106" t="s">
        <v>86</v>
      </c>
      <c r="C53" s="107">
        <v>0.5</v>
      </c>
      <c r="D53" s="60"/>
      <c r="M53" s="8"/>
    </row>
    <row r="54" spans="1:13" s="5" customFormat="1" ht="13.5" thickBot="1">
      <c r="A54" s="76"/>
      <c r="B54" s="76"/>
      <c r="C54" s="77"/>
      <c r="D54" s="108"/>
      <c r="G54" s="20"/>
      <c r="H54" s="23"/>
      <c r="M54" s="8"/>
    </row>
    <row r="55" spans="1:13" s="5" customFormat="1" ht="13.5" thickBot="1">
      <c r="A55" s="5" t="s">
        <v>22</v>
      </c>
      <c r="C55" s="20" t="s">
        <v>25</v>
      </c>
      <c r="D55" s="35" t="e">
        <f>IF(LOOKUP("x",D40:D53,A40:A53)&lt;&gt;0,LOOKUP("x",D40:D53,A40:A53),0)</f>
        <v>#N/A</v>
      </c>
      <c r="E55" s="5" t="s">
        <v>42</v>
      </c>
      <c r="G55" s="20"/>
      <c r="H55" s="23"/>
      <c r="M55" s="8"/>
    </row>
    <row r="56" spans="1:9" s="5" customFormat="1" ht="13.5" thickBot="1">
      <c r="A56" s="5" t="s">
        <v>23</v>
      </c>
      <c r="C56" s="20" t="s">
        <v>24</v>
      </c>
      <c r="D56" s="35" t="e">
        <f>IF(LOOKUP("x",D40:D53,B40:B53)&lt;&gt;0,LOOKUP("x",D40:D53,B40:B53),0)</f>
        <v>#N/A</v>
      </c>
      <c r="E56" s="5" t="s">
        <v>42</v>
      </c>
      <c r="H56" s="23"/>
      <c r="I56" s="8"/>
    </row>
    <row r="57" spans="1:10" ht="13.5" thickBot="1">
      <c r="A57" t="s">
        <v>21</v>
      </c>
      <c r="C57" s="21" t="s">
        <v>20</v>
      </c>
      <c r="D57" s="35" t="e">
        <f>IF(LOOKUP("x",D40:D53,C40:C53)&lt;&gt;0,LOOKUP("x",D40:D53,C40:C53),0)</f>
        <v>#N/A</v>
      </c>
      <c r="I57" s="4"/>
      <c r="J57"/>
    </row>
    <row r="58" spans="5:10" s="5" customFormat="1" ht="13.5" thickBot="1">
      <c r="E58" s="9"/>
      <c r="J58" s="8"/>
    </row>
    <row r="59" spans="1:9" s="5" customFormat="1" ht="13.5" thickBot="1">
      <c r="A59" t="s">
        <v>2</v>
      </c>
      <c r="C59" s="33" t="s">
        <v>26</v>
      </c>
      <c r="D59" s="44" t="e">
        <f>IF(D57=0,0,D57*D55/D56)</f>
        <v>#N/A</v>
      </c>
      <c r="I59" s="8"/>
    </row>
    <row r="60" spans="1:10" s="5" customFormat="1" ht="12.75">
      <c r="A60"/>
      <c r="B60"/>
      <c r="C60" s="2"/>
      <c r="D60" s="23"/>
      <c r="E60" s="9"/>
      <c r="J60" s="8"/>
    </row>
    <row r="61" spans="1:3" ht="12.75">
      <c r="A61" s="7" t="s">
        <v>36</v>
      </c>
      <c r="C61" s="3"/>
    </row>
    <row r="62" spans="1:3" ht="13.5" thickBot="1">
      <c r="A62" s="7" t="s">
        <v>53</v>
      </c>
      <c r="C62" s="3"/>
    </row>
    <row r="63" spans="1:10" ht="16.5" thickBot="1">
      <c r="A63" s="12" t="s">
        <v>35</v>
      </c>
      <c r="B63" s="19" t="s">
        <v>10</v>
      </c>
      <c r="C63" s="25" t="s">
        <v>44</v>
      </c>
      <c r="I63" s="4"/>
      <c r="J63"/>
    </row>
    <row r="64" spans="1:10" ht="12.75">
      <c r="A64" s="16" t="s">
        <v>39</v>
      </c>
      <c r="B64" s="26">
        <v>2</v>
      </c>
      <c r="C64" s="29"/>
      <c r="I64" s="4"/>
      <c r="J64"/>
    </row>
    <row r="65" spans="1:10" ht="12.75">
      <c r="A65" s="17" t="s">
        <v>41</v>
      </c>
      <c r="B65" s="27">
        <v>0.6</v>
      </c>
      <c r="C65" s="37"/>
      <c r="I65" s="4"/>
      <c r="J65"/>
    </row>
    <row r="66" spans="1:10" ht="12.75">
      <c r="A66" s="17" t="s">
        <v>40</v>
      </c>
      <c r="B66" s="27">
        <v>0.3</v>
      </c>
      <c r="C66" s="37"/>
      <c r="I66" s="4"/>
      <c r="J66"/>
    </row>
    <row r="67" spans="1:9" s="5" customFormat="1" ht="13.5" thickBot="1">
      <c r="A67" s="18" t="s">
        <v>19</v>
      </c>
      <c r="B67" s="28">
        <v>0.1</v>
      </c>
      <c r="C67" s="30"/>
      <c r="I67" s="8"/>
    </row>
    <row r="68" spans="1:3" ht="13.5" thickBot="1">
      <c r="A68" s="7"/>
      <c r="C68" s="3"/>
    </row>
    <row r="69" spans="1:9" s="5" customFormat="1" ht="13.5" thickBot="1">
      <c r="A69" s="5" t="s">
        <v>38</v>
      </c>
      <c r="C69" s="34" t="s">
        <v>37</v>
      </c>
      <c r="D69" s="35">
        <f>IF(C64="X",2,IF(C65="x",1,IF(C66="x",0.5,IF(C67="x",0,0))))</f>
        <v>0</v>
      </c>
      <c r="I69" s="8"/>
    </row>
    <row r="70" spans="1:3" ht="13.5" thickBot="1">
      <c r="A70" s="7"/>
      <c r="C70" s="3"/>
    </row>
    <row r="71" spans="1:6" ht="13.5" thickBot="1">
      <c r="A71" s="10" t="s">
        <v>2</v>
      </c>
      <c r="E71" s="2" t="s">
        <v>7</v>
      </c>
      <c r="F71" s="51" t="e">
        <f>D59*(0.9+0.6*D69)</f>
        <v>#N/A</v>
      </c>
    </row>
    <row r="72" spans="1:6" ht="13.5" thickBot="1">
      <c r="A72" s="39"/>
      <c r="B72" s="38"/>
      <c r="C72" s="40"/>
      <c r="D72" s="38"/>
      <c r="E72" s="38"/>
      <c r="F72" s="38"/>
    </row>
    <row r="73" spans="1:10" ht="15">
      <c r="A73" s="1" t="s">
        <v>63</v>
      </c>
      <c r="H73" s="2"/>
      <c r="J73" s="3"/>
    </row>
    <row r="74" spans="1:3" ht="12.75">
      <c r="A74" s="7" t="s">
        <v>52</v>
      </c>
      <c r="C74" s="3"/>
    </row>
    <row r="75" spans="1:6" ht="12.75">
      <c r="A75" s="2" t="s">
        <v>48</v>
      </c>
      <c r="C75" s="3"/>
      <c r="F75" s="56"/>
    </row>
    <row r="76" spans="1:6" ht="13.5" thickBot="1">
      <c r="A76" s="7" t="s">
        <v>53</v>
      </c>
      <c r="C76" s="5"/>
      <c r="F76" s="56"/>
    </row>
    <row r="77" spans="1:3" ht="26.25" thickBot="1">
      <c r="A77" s="12" t="s">
        <v>91</v>
      </c>
      <c r="B77" s="12" t="s">
        <v>47</v>
      </c>
      <c r="C77" s="36" t="s">
        <v>44</v>
      </c>
    </row>
    <row r="78" spans="1:3" ht="12.75">
      <c r="A78" s="66" t="s">
        <v>130</v>
      </c>
      <c r="B78" s="16">
        <v>1</v>
      </c>
      <c r="C78" s="29"/>
    </row>
    <row r="79" spans="1:3" ht="12.75">
      <c r="A79" s="67" t="s">
        <v>127</v>
      </c>
      <c r="B79" s="17">
        <v>2</v>
      </c>
      <c r="C79" s="37"/>
    </row>
    <row r="80" spans="1:3" ht="12.75">
      <c r="A80" s="67" t="s">
        <v>126</v>
      </c>
      <c r="B80" s="17">
        <v>3</v>
      </c>
      <c r="C80" s="37"/>
    </row>
    <row r="81" spans="1:3" ht="12.75">
      <c r="A81" s="67" t="s">
        <v>125</v>
      </c>
      <c r="B81" s="17">
        <v>4</v>
      </c>
      <c r="C81" s="37"/>
    </row>
    <row r="82" spans="1:3" ht="12.75">
      <c r="A82" s="67" t="s">
        <v>128</v>
      </c>
      <c r="B82" s="17">
        <v>5</v>
      </c>
      <c r="C82" s="37"/>
    </row>
    <row r="83" spans="1:7" ht="13.5" thickBot="1">
      <c r="A83" s="68" t="s">
        <v>129</v>
      </c>
      <c r="B83" s="18">
        <v>6</v>
      </c>
      <c r="C83" s="30"/>
      <c r="G83" s="56"/>
    </row>
    <row r="84" spans="1:3" ht="13.5" thickBot="1">
      <c r="A84" t="s">
        <v>131</v>
      </c>
      <c r="B84" s="11"/>
      <c r="C84" s="23"/>
    </row>
    <row r="85" spans="3:9" s="5" customFormat="1" ht="13.5" thickBot="1">
      <c r="C85" s="34" t="s">
        <v>49</v>
      </c>
      <c r="D85" s="35">
        <f>IF(C78="x",1,IF(C79="x",2,IF(C80="x",3,IF(C81="x",4,IF(C82="x",5,IF(C83="x",6,0))))))</f>
        <v>0</v>
      </c>
      <c r="I85" s="8"/>
    </row>
    <row r="86" ht="13.5" thickBot="1"/>
    <row r="87" spans="1:6" ht="13.5" thickBot="1">
      <c r="A87" t="s">
        <v>2</v>
      </c>
      <c r="E87" s="2" t="s">
        <v>9</v>
      </c>
      <c r="F87" s="51">
        <f>IF(D85&lt;&gt;0,(6-D85*3/4),0)</f>
        <v>0</v>
      </c>
    </row>
    <row r="88" spans="1:6" ht="13.5" thickBot="1">
      <c r="A88" s="38"/>
      <c r="B88" s="38"/>
      <c r="C88" s="38"/>
      <c r="D88" s="38"/>
      <c r="E88" s="38"/>
      <c r="F88" s="38"/>
    </row>
    <row r="89" spans="1:10" ht="15">
      <c r="A89" s="1" t="s">
        <v>64</v>
      </c>
      <c r="H89" s="2"/>
      <c r="J89" s="3"/>
    </row>
    <row r="90" spans="1:3" ht="12.75">
      <c r="A90" s="7" t="s">
        <v>80</v>
      </c>
      <c r="C90" s="3"/>
    </row>
    <row r="91" spans="1:3" ht="13.5" thickBot="1">
      <c r="A91" s="2" t="s">
        <v>43</v>
      </c>
      <c r="C91" s="3"/>
    </row>
    <row r="92" spans="1:5" ht="13.5" thickBot="1">
      <c r="A92" t="s">
        <v>4</v>
      </c>
      <c r="C92" s="22" t="s">
        <v>24</v>
      </c>
      <c r="D92" s="35" t="e">
        <f>D56</f>
        <v>#N/A</v>
      </c>
      <c r="E92" t="s">
        <v>5</v>
      </c>
    </row>
    <row r="93" ht="13.5" thickBot="1">
      <c r="A93" t="s">
        <v>79</v>
      </c>
    </row>
    <row r="94" spans="1:6" ht="13.5" thickBot="1">
      <c r="A94" t="s">
        <v>2</v>
      </c>
      <c r="E94" s="2" t="s">
        <v>8</v>
      </c>
      <c r="F94" s="51" t="e">
        <f>IF(D92&gt;350,0,IF(D92=0,0,(350-D92)/70))</f>
        <v>#N/A</v>
      </c>
    </row>
    <row r="95" spans="1:6" ht="13.5" thickBot="1">
      <c r="A95" s="38"/>
      <c r="B95" s="38"/>
      <c r="C95" s="38"/>
      <c r="D95" s="38"/>
      <c r="E95" s="38"/>
      <c r="F95" s="38"/>
    </row>
    <row r="96" ht="15">
      <c r="A96" s="1" t="s">
        <v>85</v>
      </c>
    </row>
    <row r="97" spans="1:3" ht="12.75">
      <c r="A97" s="2" t="s">
        <v>66</v>
      </c>
      <c r="C97" s="3"/>
    </row>
    <row r="98" spans="1:10" ht="13.5" thickBot="1">
      <c r="A98" s="7" t="s">
        <v>67</v>
      </c>
      <c r="C98" s="24"/>
      <c r="H98" s="2"/>
      <c r="J98" s="3"/>
    </row>
    <row r="99" spans="1:4" ht="13.5" thickBot="1">
      <c r="A99" t="s">
        <v>70</v>
      </c>
      <c r="B99" s="22" t="s">
        <v>68</v>
      </c>
      <c r="C99" s="54"/>
      <c r="D99" t="s">
        <v>72</v>
      </c>
    </row>
    <row r="100" spans="1:18" ht="12.75">
      <c r="A100" t="s">
        <v>71</v>
      </c>
      <c r="B100" s="22"/>
      <c r="C100" s="52"/>
      <c r="H100" s="5"/>
      <c r="I100" s="5"/>
      <c r="J100" s="9"/>
      <c r="K100" s="5"/>
      <c r="L100" s="5"/>
      <c r="M100" s="5"/>
      <c r="N100" s="5"/>
      <c r="O100" s="5"/>
      <c r="P100" s="5"/>
      <c r="Q100" s="5"/>
      <c r="R100" s="5"/>
    </row>
    <row r="101" spans="1:18" ht="13.5" thickBot="1">
      <c r="A101" t="s">
        <v>73</v>
      </c>
      <c r="B101" s="22"/>
      <c r="C101" s="52"/>
      <c r="H101" s="5"/>
      <c r="I101" s="5"/>
      <c r="J101" s="46"/>
      <c r="K101" s="5"/>
      <c r="L101" s="5"/>
      <c r="M101" s="5"/>
      <c r="N101" s="5"/>
      <c r="O101" s="5"/>
      <c r="P101" s="5"/>
      <c r="Q101" s="5"/>
      <c r="R101" s="5"/>
    </row>
    <row r="102" spans="1:18" ht="13.5" thickBot="1">
      <c r="A102" t="s">
        <v>2</v>
      </c>
      <c r="E102" s="2" t="s">
        <v>69</v>
      </c>
      <c r="F102" s="51">
        <f>IF(C99=0,0,IF(4.5-0.8*C99/100&lt;1,1,4.5-0.8*C99/100))</f>
        <v>0</v>
      </c>
      <c r="H102" s="5"/>
      <c r="I102" s="5"/>
      <c r="J102" s="71"/>
      <c r="K102" s="5"/>
      <c r="L102" s="5"/>
      <c r="M102" s="5"/>
      <c r="N102" s="5"/>
      <c r="O102" s="5"/>
      <c r="P102" s="5"/>
      <c r="Q102" s="5"/>
      <c r="R102" s="5"/>
    </row>
    <row r="103" spans="1:18" ht="13.5" thickBot="1">
      <c r="A103" s="38"/>
      <c r="B103" s="38"/>
      <c r="C103" s="38"/>
      <c r="D103" s="38"/>
      <c r="E103" s="38"/>
      <c r="F103" s="38"/>
      <c r="H103" s="9"/>
      <c r="I103" s="5"/>
      <c r="J103" s="71"/>
      <c r="K103" s="5"/>
      <c r="L103" s="5"/>
      <c r="M103" s="5"/>
      <c r="N103" s="5"/>
      <c r="O103" s="5"/>
      <c r="P103" s="5"/>
      <c r="Q103" s="5"/>
      <c r="R103" s="5"/>
    </row>
    <row r="104" ht="15">
      <c r="A104" s="1" t="s">
        <v>88</v>
      </c>
    </row>
    <row r="105" spans="1:3" ht="13.5" thickBot="1">
      <c r="A105" s="2" t="s">
        <v>87</v>
      </c>
      <c r="C105" s="3"/>
    </row>
    <row r="106" spans="1:10" ht="13.5" thickBot="1">
      <c r="A106" s="7"/>
      <c r="C106" s="36" t="s">
        <v>44</v>
      </c>
      <c r="H106" s="2"/>
      <c r="J106" s="3"/>
    </row>
    <row r="107" spans="1:3" ht="13.5" thickBot="1">
      <c r="A107" s="7" t="s">
        <v>53</v>
      </c>
      <c r="B107" s="22"/>
      <c r="C107" s="111"/>
    </row>
    <row r="108" spans="1:18" ht="12.75">
      <c r="A108" t="s">
        <v>89</v>
      </c>
      <c r="B108" s="22"/>
      <c r="C108" s="52"/>
      <c r="H108" s="5"/>
      <c r="I108" s="5"/>
      <c r="J108" s="9"/>
      <c r="K108" s="5"/>
      <c r="L108" s="5"/>
      <c r="M108" s="5"/>
      <c r="N108" s="5"/>
      <c r="O108" s="5"/>
      <c r="P108" s="5"/>
      <c r="Q108" s="5"/>
      <c r="R108" s="5"/>
    </row>
    <row r="109" spans="1:18" ht="13.5" thickBot="1">
      <c r="A109" t="s">
        <v>90</v>
      </c>
      <c r="B109" s="22"/>
      <c r="C109" s="52"/>
      <c r="H109" s="5"/>
      <c r="I109" s="5"/>
      <c r="J109" s="46"/>
      <c r="K109" s="5"/>
      <c r="L109" s="5"/>
      <c r="M109" s="5"/>
      <c r="N109" s="5"/>
      <c r="O109" s="5"/>
      <c r="P109" s="5"/>
      <c r="Q109" s="5"/>
      <c r="R109" s="5"/>
    </row>
    <row r="110" spans="1:18" ht="13.5" thickBot="1">
      <c r="A110" t="s">
        <v>2</v>
      </c>
      <c r="E110" s="2" t="s">
        <v>92</v>
      </c>
      <c r="F110" s="51">
        <f>IF(C107&lt;&gt;"x",0,0.5)</f>
        <v>0</v>
      </c>
      <c r="H110" s="5"/>
      <c r="I110" s="5"/>
      <c r="J110" s="71"/>
      <c r="K110" s="5"/>
      <c r="L110" s="5"/>
      <c r="M110" s="5"/>
      <c r="N110" s="5"/>
      <c r="O110" s="5"/>
      <c r="P110" s="5"/>
      <c r="Q110" s="5"/>
      <c r="R110" s="5"/>
    </row>
    <row r="111" spans="1:18" ht="13.5" thickBot="1">
      <c r="A111" s="38"/>
      <c r="B111" s="38"/>
      <c r="C111" s="38"/>
      <c r="D111" s="38"/>
      <c r="E111" s="38"/>
      <c r="F111" s="38"/>
      <c r="H111" s="9"/>
      <c r="I111" s="5"/>
      <c r="J111" s="71"/>
      <c r="K111" s="5"/>
      <c r="L111" s="5"/>
      <c r="M111" s="5"/>
      <c r="N111" s="5"/>
      <c r="O111" s="5"/>
      <c r="P111" s="5"/>
      <c r="Q111" s="5"/>
      <c r="R111" s="5"/>
    </row>
    <row r="112" spans="8:18" ht="13.5" thickBot="1">
      <c r="H112" s="5"/>
      <c r="I112" s="5"/>
      <c r="J112" s="71"/>
      <c r="K112" s="5"/>
      <c r="L112" s="5"/>
      <c r="M112" s="5"/>
      <c r="N112" s="5"/>
      <c r="O112" s="5"/>
      <c r="P112" s="5"/>
      <c r="Q112" s="5"/>
      <c r="R112" s="5"/>
    </row>
    <row r="113" spans="1:18" ht="16.5" thickBot="1">
      <c r="A113" s="47" t="s">
        <v>59</v>
      </c>
      <c r="B113" s="5"/>
      <c r="C113" s="5"/>
      <c r="D113" s="5"/>
      <c r="E113" s="49" t="s">
        <v>60</v>
      </c>
      <c r="F113" s="50" t="e">
        <f>F13+F26+F71+F94+F87+F102+F110</f>
        <v>#N/A</v>
      </c>
      <c r="H113" s="5"/>
      <c r="I113" s="5"/>
      <c r="J113" s="9"/>
      <c r="K113" s="5"/>
      <c r="L113" s="5"/>
      <c r="M113" s="5"/>
      <c r="N113" s="5"/>
      <c r="O113" s="5"/>
      <c r="P113" s="5"/>
      <c r="Q113" s="5"/>
      <c r="R113" s="5"/>
    </row>
    <row r="114" spans="1:8" ht="16.5" thickBot="1">
      <c r="A114" s="48"/>
      <c r="B114" s="38"/>
      <c r="C114" s="38"/>
      <c r="D114" s="5"/>
      <c r="E114" s="5"/>
      <c r="F114" s="5"/>
      <c r="G114" s="5"/>
      <c r="H114" s="5"/>
    </row>
    <row r="115" spans="1:9" ht="16.5" thickBot="1">
      <c r="A115" s="72" t="s">
        <v>106</v>
      </c>
      <c r="B115" s="73"/>
      <c r="C115" s="73"/>
      <c r="D115" s="72" t="s">
        <v>107</v>
      </c>
      <c r="E115" s="73"/>
      <c r="F115" s="73"/>
      <c r="G115" s="73"/>
      <c r="H115" s="73"/>
      <c r="I115" s="74"/>
    </row>
    <row r="116" spans="1:9" ht="14.25">
      <c r="A116" s="88" t="s">
        <v>136</v>
      </c>
      <c r="B116" s="85" t="e">
        <f>IF(F113&gt;26,"X","")</f>
        <v>#N/A</v>
      </c>
      <c r="C116" s="5"/>
      <c r="D116" s="87"/>
      <c r="E116" s="5"/>
      <c r="F116" s="89" t="s">
        <v>140</v>
      </c>
      <c r="G116" s="5"/>
      <c r="H116" s="85" t="e">
        <f>IF(F113&gt;19,"X","")</f>
        <v>#N/A</v>
      </c>
      <c r="I116" s="80"/>
    </row>
    <row r="117" spans="1:10" ht="14.25">
      <c r="A117" s="88" t="s">
        <v>137</v>
      </c>
      <c r="B117" s="85" t="e">
        <f>IF(F113&lt;26,IF(F113&gt;=23.5,"X",""),"")</f>
        <v>#N/A</v>
      </c>
      <c r="C117" s="5"/>
      <c r="D117" s="87"/>
      <c r="E117" s="5"/>
      <c r="F117" s="89" t="s">
        <v>141</v>
      </c>
      <c r="G117" s="5"/>
      <c r="H117" s="85" t="e">
        <f>IF(F113&lt;19,IF(F113&gt;=17.5,"X",""),"")</f>
        <v>#N/A</v>
      </c>
      <c r="I117" s="80"/>
      <c r="J117"/>
    </row>
    <row r="118" spans="1:10" ht="14.25">
      <c r="A118" s="88" t="s">
        <v>138</v>
      </c>
      <c r="B118" s="85" t="e">
        <f>IF(F113&lt;23.5,IF(F113&gt;=21,"X",""),"")</f>
        <v>#N/A</v>
      </c>
      <c r="C118" s="5"/>
      <c r="D118" s="87"/>
      <c r="E118" s="5"/>
      <c r="F118" s="89" t="s">
        <v>142</v>
      </c>
      <c r="G118" s="5"/>
      <c r="H118" s="85" t="e">
        <f>IF(F113&lt;17.5,IF(F113&gt;=16,"X",""),"")</f>
        <v>#N/A</v>
      </c>
      <c r="I118" s="80"/>
      <c r="J118"/>
    </row>
    <row r="119" spans="1:10" ht="14.25">
      <c r="A119" s="88" t="s">
        <v>139</v>
      </c>
      <c r="B119" s="85" t="e">
        <f>IF(F113&lt;21,"X","")</f>
        <v>#N/A</v>
      </c>
      <c r="C119" s="5"/>
      <c r="D119" s="87"/>
      <c r="E119" s="5"/>
      <c r="F119" s="89" t="s">
        <v>143</v>
      </c>
      <c r="G119" s="5"/>
      <c r="H119" s="85" t="e">
        <f>IF(F113&lt;16,"X","")</f>
        <v>#N/A</v>
      </c>
      <c r="I119" s="80"/>
      <c r="J119"/>
    </row>
    <row r="120" spans="1:9" ht="16.5" thickBot="1">
      <c r="A120" s="90"/>
      <c r="B120" s="48"/>
      <c r="C120" s="48"/>
      <c r="D120" s="90"/>
      <c r="E120" s="48"/>
      <c r="F120" s="48"/>
      <c r="G120" s="48"/>
      <c r="H120" s="48"/>
      <c r="I120" s="84"/>
    </row>
    <row r="121" ht="13.5" thickBot="1"/>
    <row r="122" spans="1:9" ht="16.5" thickBot="1">
      <c r="A122" s="72" t="s">
        <v>123</v>
      </c>
      <c r="B122" s="73"/>
      <c r="C122" s="73"/>
      <c r="D122" s="73"/>
      <c r="E122" s="73"/>
      <c r="F122" s="73"/>
      <c r="G122" s="73"/>
      <c r="H122" s="73"/>
      <c r="I122" s="74"/>
    </row>
    <row r="123" spans="1:10" ht="13.5" thickBot="1">
      <c r="A123" s="4"/>
      <c r="B123" s="4"/>
      <c r="J123"/>
    </row>
    <row r="124" spans="1:10" ht="13.5" thickBot="1">
      <c r="A124" s="100" t="s">
        <v>76</v>
      </c>
      <c r="B124" s="101"/>
      <c r="C124" s="73"/>
      <c r="D124" s="73"/>
      <c r="E124" s="73"/>
      <c r="F124" s="73"/>
      <c r="G124" s="73"/>
      <c r="H124" s="73"/>
      <c r="I124" s="74"/>
      <c r="J124"/>
    </row>
    <row r="125" spans="1:10" ht="12.75">
      <c r="A125" s="79" t="s">
        <v>74</v>
      </c>
      <c r="B125" s="46"/>
      <c r="C125" s="5"/>
      <c r="D125" s="5"/>
      <c r="E125" s="8">
        <f>C138*C141</f>
        <v>0</v>
      </c>
      <c r="F125" s="5" t="s">
        <v>78</v>
      </c>
      <c r="G125" s="5"/>
      <c r="H125" s="5"/>
      <c r="I125" s="80"/>
      <c r="J125"/>
    </row>
    <row r="126" spans="1:10" ht="12.75">
      <c r="A126" s="79" t="s">
        <v>108</v>
      </c>
      <c r="B126" s="46"/>
      <c r="C126" s="5"/>
      <c r="D126" s="5"/>
      <c r="E126" s="8" t="e">
        <f>((C138*C140)*C146*C144/1000)</f>
        <v>#N/A</v>
      </c>
      <c r="F126" s="5" t="s">
        <v>109</v>
      </c>
      <c r="G126" s="5"/>
      <c r="H126" s="5"/>
      <c r="I126" s="80"/>
      <c r="J126"/>
    </row>
    <row r="127" spans="1:10" ht="12.75">
      <c r="A127" s="79" t="s">
        <v>110</v>
      </c>
      <c r="B127" s="46"/>
      <c r="C127" s="5"/>
      <c r="D127" s="5"/>
      <c r="E127" s="8" t="e">
        <f>E126*C142</f>
        <v>#N/A</v>
      </c>
      <c r="F127" s="5" t="s">
        <v>109</v>
      </c>
      <c r="G127" s="5"/>
      <c r="H127" s="5"/>
      <c r="I127" s="80"/>
      <c r="J127"/>
    </row>
    <row r="128" spans="1:10" ht="12.75">
      <c r="A128" s="79" t="s">
        <v>111</v>
      </c>
      <c r="B128" s="46"/>
      <c r="C128" s="5"/>
      <c r="D128" s="5"/>
      <c r="E128" s="8" t="e">
        <f>((C139-C140)*C138*C144/1000*C146)</f>
        <v>#N/A</v>
      </c>
      <c r="F128" s="5" t="s">
        <v>109</v>
      </c>
      <c r="G128" s="5"/>
      <c r="H128" s="5"/>
      <c r="I128" s="80"/>
      <c r="J128"/>
    </row>
    <row r="129" spans="1:10" ht="12.75">
      <c r="A129" s="79" t="s">
        <v>112</v>
      </c>
      <c r="B129" s="46"/>
      <c r="C129" s="5"/>
      <c r="D129" s="5"/>
      <c r="E129" s="76" t="e">
        <f>E128+E127</f>
        <v>#N/A</v>
      </c>
      <c r="F129" s="5" t="s">
        <v>109</v>
      </c>
      <c r="G129" s="75"/>
      <c r="H129" s="5"/>
      <c r="I129" s="80"/>
      <c r="J129"/>
    </row>
    <row r="130" spans="1:10" ht="12.75">
      <c r="A130" s="81" t="s">
        <v>77</v>
      </c>
      <c r="B130" s="71"/>
      <c r="C130" s="5"/>
      <c r="D130" s="5"/>
      <c r="E130" s="85" t="e">
        <f>E128*C143+E127*C143</f>
        <v>#N/A</v>
      </c>
      <c r="F130" s="5" t="s">
        <v>113</v>
      </c>
      <c r="G130" s="5"/>
      <c r="H130" s="5"/>
      <c r="I130" s="80"/>
      <c r="J130"/>
    </row>
    <row r="131" spans="1:10" ht="12.75">
      <c r="A131" s="81" t="s">
        <v>114</v>
      </c>
      <c r="B131" s="71"/>
      <c r="C131" s="5"/>
      <c r="D131" s="5"/>
      <c r="E131" s="8" t="e">
        <f>E130*C147</f>
        <v>#N/A</v>
      </c>
      <c r="F131" s="5" t="s">
        <v>78</v>
      </c>
      <c r="G131" s="5"/>
      <c r="H131" s="5"/>
      <c r="I131" s="80"/>
      <c r="J131"/>
    </row>
    <row r="132" spans="1:10" ht="12.75">
      <c r="A132" s="81" t="s">
        <v>115</v>
      </c>
      <c r="B132" s="71"/>
      <c r="C132" s="5"/>
      <c r="D132" s="5"/>
      <c r="E132" s="8">
        <f>C138*C147/C149*C145*(1+C148)</f>
        <v>0</v>
      </c>
      <c r="F132" s="5" t="s">
        <v>78</v>
      </c>
      <c r="G132" s="77">
        <f>IF(C138=0,0,E132/(C147*C138))</f>
        <v>0</v>
      </c>
      <c r="H132" s="5" t="s">
        <v>116</v>
      </c>
      <c r="I132" s="80"/>
      <c r="J132"/>
    </row>
    <row r="133" spans="1:10" ht="12.75">
      <c r="A133" s="81" t="s">
        <v>117</v>
      </c>
      <c r="B133" s="71"/>
      <c r="C133" s="5"/>
      <c r="D133" s="5"/>
      <c r="E133" s="55">
        <f>C138*(C147/C150-1)*C145*(1+C148)*(1-C142)</f>
        <v>0</v>
      </c>
      <c r="F133" s="5" t="s">
        <v>78</v>
      </c>
      <c r="G133" s="77">
        <f>IF(C138=0,0,E133/(C147*C138))</f>
        <v>0</v>
      </c>
      <c r="H133" s="5" t="s">
        <v>116</v>
      </c>
      <c r="I133" s="80"/>
      <c r="J133"/>
    </row>
    <row r="134" spans="1:10" ht="12.75">
      <c r="A134" s="81" t="s">
        <v>118</v>
      </c>
      <c r="B134" s="71"/>
      <c r="C134" s="5"/>
      <c r="D134" s="5"/>
      <c r="E134" s="78">
        <f>(E132-E133)/C147</f>
        <v>0</v>
      </c>
      <c r="F134" s="5" t="s">
        <v>113</v>
      </c>
      <c r="G134" s="77">
        <f>IF(C138=0,0,E134/C138)</f>
        <v>0</v>
      </c>
      <c r="H134" s="5" t="s">
        <v>116</v>
      </c>
      <c r="I134" s="80"/>
      <c r="J134"/>
    </row>
    <row r="135" spans="1:10" ht="13.5" thickBot="1">
      <c r="A135" s="82" t="s">
        <v>121</v>
      </c>
      <c r="B135" s="83"/>
      <c r="C135" s="38"/>
      <c r="D135" s="38"/>
      <c r="E135" s="86">
        <f>IF(E125=0,0,E125/(E130+E134))</f>
        <v>0</v>
      </c>
      <c r="F135" s="38" t="s">
        <v>75</v>
      </c>
      <c r="G135" s="38"/>
      <c r="H135" s="38"/>
      <c r="I135" s="84"/>
      <c r="J135"/>
    </row>
    <row r="136" ht="13.5" thickBot="1"/>
    <row r="137" spans="1:9" ht="13.5" thickBot="1">
      <c r="A137" s="100" t="s">
        <v>122</v>
      </c>
      <c r="B137" s="73"/>
      <c r="C137" s="73"/>
      <c r="D137" s="73"/>
      <c r="E137" s="73"/>
      <c r="F137" s="73"/>
      <c r="G137" s="73"/>
      <c r="H137" s="73"/>
      <c r="I137" s="74"/>
    </row>
    <row r="138" spans="1:10" ht="12.75">
      <c r="A138" s="91" t="s">
        <v>93</v>
      </c>
      <c r="B138" s="92"/>
      <c r="C138" s="93">
        <f>C23</f>
        <v>0</v>
      </c>
      <c r="D138" s="5"/>
      <c r="E138" s="5"/>
      <c r="F138" s="5"/>
      <c r="G138" s="5"/>
      <c r="H138" s="5"/>
      <c r="I138" s="80"/>
      <c r="J138"/>
    </row>
    <row r="139" spans="1:10" ht="12.75">
      <c r="A139" s="91" t="s">
        <v>94</v>
      </c>
      <c r="B139" s="92"/>
      <c r="C139" s="110" t="e">
        <f>D55</f>
        <v>#N/A</v>
      </c>
      <c r="D139" s="5"/>
      <c r="E139" s="5"/>
      <c r="F139" s="5"/>
      <c r="G139" s="5"/>
      <c r="H139" s="5"/>
      <c r="I139" s="80"/>
      <c r="J139"/>
    </row>
    <row r="140" spans="1:10" ht="12.75">
      <c r="A140" s="91" t="s">
        <v>95</v>
      </c>
      <c r="B140" s="92"/>
      <c r="C140" s="110" t="e">
        <f>D56</f>
        <v>#N/A</v>
      </c>
      <c r="D140" s="5"/>
      <c r="E140" s="5"/>
      <c r="F140" s="5"/>
      <c r="G140" s="5"/>
      <c r="H140" s="5"/>
      <c r="I140" s="80"/>
      <c r="J140"/>
    </row>
    <row r="141" spans="1:10" ht="12.75">
      <c r="A141" s="91" t="s">
        <v>96</v>
      </c>
      <c r="B141" s="92"/>
      <c r="C141" s="94">
        <f>C99</f>
        <v>0</v>
      </c>
      <c r="D141" s="5"/>
      <c r="E141" s="5"/>
      <c r="F141" s="5"/>
      <c r="G141" s="5"/>
      <c r="H141" s="5"/>
      <c r="I141" s="80"/>
      <c r="J141"/>
    </row>
    <row r="142" spans="1:10" ht="12.75">
      <c r="A142" s="91" t="s">
        <v>120</v>
      </c>
      <c r="B142" s="92"/>
      <c r="C142" s="95">
        <f>IF(C107&lt;&gt;"x",0,0.25)</f>
        <v>0</v>
      </c>
      <c r="D142" s="95" t="s">
        <v>119</v>
      </c>
      <c r="E142" s="95"/>
      <c r="F142" s="95"/>
      <c r="G142" s="95"/>
      <c r="H142" s="95"/>
      <c r="I142" s="96"/>
      <c r="J142"/>
    </row>
    <row r="143" spans="1:10" ht="12.75">
      <c r="A143" s="91" t="s">
        <v>97</v>
      </c>
      <c r="B143" s="92"/>
      <c r="C143" s="77">
        <v>0.1</v>
      </c>
      <c r="D143" s="5"/>
      <c r="E143" s="5"/>
      <c r="F143" s="5"/>
      <c r="G143" s="5"/>
      <c r="H143" s="5"/>
      <c r="I143" s="80"/>
      <c r="J143"/>
    </row>
    <row r="144" spans="1:10" ht="12.75">
      <c r="A144" s="91" t="s">
        <v>98</v>
      </c>
      <c r="B144" s="92"/>
      <c r="C144" s="5">
        <v>4200</v>
      </c>
      <c r="D144" s="5"/>
      <c r="E144" s="5"/>
      <c r="F144" s="5"/>
      <c r="G144" s="5"/>
      <c r="H144" s="5"/>
      <c r="I144" s="80"/>
      <c r="J144"/>
    </row>
    <row r="145" spans="1:10" ht="12.75">
      <c r="A145" s="91" t="s">
        <v>99</v>
      </c>
      <c r="B145" s="92"/>
      <c r="C145" s="5">
        <v>55</v>
      </c>
      <c r="D145" s="5"/>
      <c r="E145" s="5"/>
      <c r="F145" s="5"/>
      <c r="G145" s="5"/>
      <c r="H145" s="5"/>
      <c r="I145" s="80"/>
      <c r="J145"/>
    </row>
    <row r="146" spans="1:10" ht="12.75">
      <c r="A146" s="91" t="s">
        <v>100</v>
      </c>
      <c r="B146" s="92"/>
      <c r="C146" s="5">
        <v>1.12</v>
      </c>
      <c r="D146" s="5"/>
      <c r="E146" s="5"/>
      <c r="F146" s="5"/>
      <c r="G146" s="5"/>
      <c r="H146" s="5"/>
      <c r="I146" s="80"/>
      <c r="J146"/>
    </row>
    <row r="147" spans="1:10" ht="12.75">
      <c r="A147" s="91" t="s">
        <v>101</v>
      </c>
      <c r="B147" s="92"/>
      <c r="C147" s="5">
        <v>25</v>
      </c>
      <c r="D147" s="5"/>
      <c r="E147" s="5"/>
      <c r="F147" s="5"/>
      <c r="G147" s="5"/>
      <c r="H147" s="5"/>
      <c r="I147" s="80"/>
      <c r="J147"/>
    </row>
    <row r="148" spans="1:10" ht="12.75">
      <c r="A148" s="91" t="s">
        <v>102</v>
      </c>
      <c r="B148" s="92"/>
      <c r="C148" s="5">
        <v>0.03</v>
      </c>
      <c r="D148" s="5"/>
      <c r="E148" s="5"/>
      <c r="F148" s="5"/>
      <c r="G148" s="5"/>
      <c r="H148" s="5"/>
      <c r="I148" s="80"/>
      <c r="J148"/>
    </row>
    <row r="149" spans="1:10" ht="12.75">
      <c r="A149" s="91" t="s">
        <v>103</v>
      </c>
      <c r="B149" s="92"/>
      <c r="C149" s="5">
        <v>2.5</v>
      </c>
      <c r="D149" s="5"/>
      <c r="E149" s="5"/>
      <c r="F149" s="5"/>
      <c r="G149" s="5"/>
      <c r="H149" s="5"/>
      <c r="I149" s="80"/>
      <c r="J149"/>
    </row>
    <row r="150" spans="1:10" ht="12.75">
      <c r="A150" s="91" t="s">
        <v>104</v>
      </c>
      <c r="B150" s="92"/>
      <c r="C150" s="5">
        <v>3</v>
      </c>
      <c r="D150" s="5"/>
      <c r="E150" s="5"/>
      <c r="F150" s="5"/>
      <c r="G150" s="5"/>
      <c r="H150" s="5"/>
      <c r="I150" s="80"/>
      <c r="J150"/>
    </row>
    <row r="151" spans="1:10" ht="13.5" thickBot="1">
      <c r="A151" s="97" t="s">
        <v>105</v>
      </c>
      <c r="B151" s="98"/>
      <c r="C151" s="99">
        <f>SUM(C138:C138)</f>
        <v>0</v>
      </c>
      <c r="D151" s="38"/>
      <c r="E151" s="38"/>
      <c r="F151" s="38"/>
      <c r="G151" s="38"/>
      <c r="H151" s="38"/>
      <c r="I151" s="84"/>
      <c r="J151"/>
    </row>
  </sheetData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ITAEDXBL</cp:lastModifiedBy>
  <cp:lastPrinted>2006-08-19T13:20:05Z</cp:lastPrinted>
  <dcterms:created xsi:type="dcterms:W3CDTF">2005-03-05T17:25:15Z</dcterms:created>
  <dcterms:modified xsi:type="dcterms:W3CDTF">2006-07-28T18:50:56Z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